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<sst xmlns="http://schemas.openxmlformats.org/spreadsheetml/2006/main" count="36" uniqueCount="36">
  <si>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</si>
  <si>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</si>
  <si>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</si>
  <si>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</si>
  <si>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</si>
  <si>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</si>
  <si>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</si>
  <si>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</si>
  <si>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</si>
  <si>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</si>
  <si>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</si>
  <si>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</si>
  <si>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</si>
  <si>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</si>
  <si>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</si>
  <si>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</si>
  <si>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</si>
  <si>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</si>
  <si>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</si>
  <si>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</si>
  <si>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</si>
  <si>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</si>
  <si>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</si>
  <si>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</si>
  <si>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</si>
  <si>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</si>
  <si>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</si>
  <si>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345,00 – чистка вентканалов кв. 34.</t>
  </si>
  <si>
    <t xml:space="preserve">785,00 – замена запорной арматуры на трубопроводе ГВС в подвале.                       2122,00 – ремонт электрооборудования 7-го подъезда.         </t>
  </si>
  <si>
    <t>1771,00 – ремонт трубопровода канализации по стояку кв. 261.</t>
  </si>
  <si>
    <t xml:space="preserve">13634,00 – ремонт электрощитов 3-ого подъезда 8,9 эт.                                                          6811,00 – ремонт электрощита 7-ого подъезда 1 эт.                                                           5356,00 – ремонт ВРУ, 2 подъезд.                     2678,00 – ремонт трубопровода ХВС и ГВС в кв. 110-114.                       </t>
  </si>
  <si>
    <t>8406,00 – ремонт трубопровода ГВС в подвале.                                                                       828,00 – замена трубопровода ХВС в кв. 208.                                                                                   1419,00 – замена стояков ХВС и ГВС.                     2047,00 – замена стояка канализации кв. 20.                                                                                4081,00 – ремонт кровли кв. 143.                             980,00 – проверка вентиляции в кв. 219.</t>
  </si>
  <si>
    <t>4383,00 – ремонт трубопровода ГВС в подвале и на чердаке 4-ого подъезда.                        971,00 – ремонт трубопровода канализации в кв. 265.</t>
  </si>
  <si>
    <t>371000,00 - замена окон ПВХ в МОП.</t>
  </si>
  <si>
    <t>6547,00 - ремонт трубопровода внутреннего водостока на чердаке.                             3157,00 - замена стояке ГВС в кухне кв. 150.                                                                               1703,00 - замена врезки на трубопроводе отоплния с заменой запорной арматуры в подвале 1-ого подъезда.</t>
  </si>
  <si>
    <t>14179,00 - ремонт кровли кв. 34.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</si>
</sst>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3139.9</v>
          </cell>
          <cell r="R8">
            <v>130020.89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-96444.62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U11">
            <v>3251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182745</v>
          </cell>
          <cell r="AG11">
            <v>426366.3799999999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AC17">
            <v>1259</v>
          </cell>
          <cell r="AF17">
            <v>1259</v>
          </cell>
          <cell r="AG17">
            <v>488266.9000000001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6948.99</v>
          </cell>
          <cell r="R18">
            <v>95307.43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-70547.47000000003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Z25">
            <v>20504</v>
          </cell>
          <cell r="AF25">
            <v>29433</v>
          </cell>
          <cell r="AG25">
            <v>168712.11999999997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138943.94</v>
          </cell>
          <cell r="R26">
            <v>277579.52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187264.78000000003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-11924.76</v>
          </cell>
          <cell r="R38">
            <v>36209.66999999999</v>
          </cell>
          <cell r="W38">
            <v>34230</v>
          </cell>
          <cell r="AF38">
            <v>34230</v>
          </cell>
          <cell r="AG38">
            <v>162066.25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13500</v>
          </cell>
          <cell r="AB61">
            <v>42927</v>
          </cell>
          <cell r="AC61">
            <v>7940</v>
          </cell>
          <cell r="AF61">
            <v>68557</v>
          </cell>
          <cell r="AG61">
            <v>540977.2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18469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36430</v>
          </cell>
          <cell r="AG67">
            <v>231873.91000000003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Z88">
            <v>14179</v>
          </cell>
          <cell r="AA88">
            <v>371000</v>
          </cell>
          <cell r="AD88">
            <v>11407</v>
          </cell>
          <cell r="AF88">
            <v>453203</v>
          </cell>
          <cell r="AG88">
            <v>516459.61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Z91">
            <v>2494</v>
          </cell>
          <cell r="AB91">
            <v>19464</v>
          </cell>
          <cell r="AC91">
            <v>39666</v>
          </cell>
          <cell r="AD91">
            <v>1527</v>
          </cell>
          <cell r="AF91">
            <v>702400</v>
          </cell>
          <cell r="AG91">
            <v>995026.8400000003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-530.58</v>
          </cell>
          <cell r="R95">
            <v>814.9399999999997</v>
          </cell>
          <cell r="AF95">
            <v>0</v>
          </cell>
          <cell r="AG95">
            <v>814.9399999999997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134217.23000000004</v>
          </cell>
          <cell r="R101">
            <v>10765062.559999999</v>
          </cell>
          <cell r="S101">
            <v>477055</v>
          </cell>
          <cell r="T101">
            <v>305475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38157</v>
          </cell>
          <cell r="AA101">
            <v>578410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8798030.1</v>
          </cell>
          <cell r="AG101">
            <v>21325285.220000006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22">
      <selection activeCell="A25" sqref="A25:D25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2102</v>
      </c>
      <c r="B1" s="19"/>
      <c r="C1" s="19"/>
      <c r="D1" s="19"/>
      <c r="E1" s="19"/>
    </row>
    <row r="2" spans="1:5" ht="24.75" customHeight="1">
      <c r="A2" s="21" t="s">
        <v>21</v>
      </c>
      <c r="B2" s="21"/>
      <c r="C2" s="21"/>
      <c r="D2" s="21"/>
      <c r="E2" s="21"/>
    </row>
    <row r="3" spans="1:5" ht="41.25" customHeight="1">
      <c r="A3" s="22" t="s">
        <v>25</v>
      </c>
      <c r="B3" s="23"/>
      <c r="C3" s="23"/>
      <c r="D3" s="23"/>
      <c r="E3" s="23"/>
    </row>
    <row r="4" spans="1:5" ht="15" customHeight="1">
      <c r="A4" s="24" t="s">
        <v>26</v>
      </c>
      <c r="B4" s="25"/>
      <c r="C4" s="25"/>
      <c r="D4" s="25"/>
      <c r="E4" s="25"/>
    </row>
    <row r="5" spans="1:5" ht="30.75" customHeight="1">
      <c r="A5" s="20" t="str">
        <f>VLOOKUP(A1,'[1]ТР 2018'!$A$1:$AH$101,2,0)</f>
        <v>ул.Черняховского д.18А</v>
      </c>
      <c r="B5" s="20"/>
      <c r="C5" s="20"/>
      <c r="D5" s="20"/>
      <c r="E5" s="20"/>
    </row>
    <row r="6" spans="1:5" ht="15.75" customHeight="1">
      <c r="A6" s="28" t="s">
        <v>17</v>
      </c>
      <c r="B6" s="28"/>
      <c r="C6" s="28"/>
      <c r="D6" s="28"/>
      <c r="E6" s="5">
        <f>VLOOKUP(A1,'[1]ТР 2018'!$A$1:$AH$101,3,0)</f>
        <v>15738.4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4">
        <f>E7*E6</f>
        <v>43595.368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27" t="s">
        <v>20</v>
      </c>
      <c r="B11" s="27"/>
      <c r="C11" s="27"/>
      <c r="D11" s="27"/>
      <c r="E11" s="16">
        <f>VLOOKUP(A1,'[1]ТР 2018'!$A$1:$AH$101,4,0)</f>
        <v>451468.55999999994</v>
      </c>
    </row>
    <row r="12" spans="1:5" ht="15.75">
      <c r="A12" s="3">
        <v>1</v>
      </c>
      <c r="B12" s="11" t="s">
        <v>4</v>
      </c>
      <c r="C12" s="7">
        <f>VLOOKUP(A1,'[1]ТР 2018'!$A$1:$AH$101,5,0)</f>
        <v>28938.47</v>
      </c>
      <c r="D12" s="7">
        <f>VLOOKUP(A1,'[1]ТР 2018'!$A$1:$AH$101,19,0)</f>
        <v>345</v>
      </c>
      <c r="E12" s="17" t="s">
        <v>27</v>
      </c>
    </row>
    <row r="13" spans="1:5" ht="65.25" customHeight="1">
      <c r="A13" s="3">
        <v>2</v>
      </c>
      <c r="B13" s="11" t="s">
        <v>5</v>
      </c>
      <c r="C13" s="7">
        <f>VLOOKUP(A1,'[1]ТР 2018'!$A$1:$AH$101,6,0)</f>
        <v>45946</v>
      </c>
      <c r="D13" s="7">
        <f>VLOOKUP(A1,'[1]ТР 2018'!$A$1:$AH$101,20,0)</f>
        <v>2907</v>
      </c>
      <c r="E13" s="9" t="s">
        <v>28</v>
      </c>
    </row>
    <row r="14" spans="1:5" ht="30.75" customHeight="1">
      <c r="A14" s="3">
        <v>3</v>
      </c>
      <c r="B14" s="11" t="s">
        <v>6</v>
      </c>
      <c r="C14" s="7">
        <f>VLOOKUP(A1,'[1]ТР 2018'!$A$1:$AH$101,7,0)</f>
        <v>57402.88</v>
      </c>
      <c r="D14" s="7">
        <f>VLOOKUP(A1,'[1]ТР 2018'!$A$1:$AH$101,21,0)</f>
        <v>1771</v>
      </c>
      <c r="E14" s="9" t="s">
        <v>29</v>
      </c>
    </row>
    <row r="15" spans="1:5" ht="110.25">
      <c r="A15" s="3">
        <v>4</v>
      </c>
      <c r="B15" s="11" t="s">
        <v>7</v>
      </c>
      <c r="C15" s="7">
        <f>VLOOKUP(A1,'[1]ТР 2018'!$A$1:$AH$101,8,0)</f>
        <v>41639.59</v>
      </c>
      <c r="D15" s="7">
        <f>VLOOKUP(A1,'[1]ТР 2018'!$A$1:$AH$101,22,0)</f>
        <v>28479</v>
      </c>
      <c r="E15" s="18" t="s">
        <v>30</v>
      </c>
    </row>
    <row r="16" spans="1:5" ht="141.75">
      <c r="A16" s="3">
        <v>5</v>
      </c>
      <c r="B16" s="11" t="s">
        <v>8</v>
      </c>
      <c r="C16" s="7">
        <f>VLOOKUP(A1,'[1]ТР 2018'!$A$1:$AH$101,9,0)</f>
        <v>40782.88</v>
      </c>
      <c r="D16" s="7">
        <f>VLOOKUP(A1,'[1]ТР 2018'!$A$1:$AH$101,23,0)</f>
        <v>17761</v>
      </c>
      <c r="E16" s="18" t="s">
        <v>31</v>
      </c>
    </row>
    <row r="17" spans="1:5" ht="63">
      <c r="A17" s="3">
        <v>6</v>
      </c>
      <c r="B17" s="11" t="s">
        <v>9</v>
      </c>
      <c r="C17" s="7">
        <f>VLOOKUP(A1,'[1]ТР 2018'!$A$1:$AH$101,10,0)</f>
        <v>43729.03</v>
      </c>
      <c r="D17" s="7">
        <f>VLOOKUP(A1,'[1]ТР 2018'!$A$1:$AH$101,24,0)</f>
        <v>5354</v>
      </c>
      <c r="E17" s="18" t="s">
        <v>32</v>
      </c>
    </row>
    <row r="18" spans="1:5" ht="15.75">
      <c r="A18" s="3">
        <v>7</v>
      </c>
      <c r="B18" s="4" t="s">
        <v>10</v>
      </c>
      <c r="C18" s="7">
        <f>VLOOKUP(A1,'[1]ТР 2018'!$A$1:$AH$101,11,0)</f>
        <v>40281.04</v>
      </c>
      <c r="D18" s="7">
        <f>VLOOKUP(A1,'[1]ТР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VLOOKUP(A1,'[1]ТР 2018'!$A$1:$AH$101,12,0)</f>
        <v>43274.64</v>
      </c>
      <c r="D19" s="7">
        <f>VLOOKUP(A1,'[1]ТР 2018'!$A$1:$AH$101,26,0)</f>
        <v>14179</v>
      </c>
      <c r="E19" s="9" t="s">
        <v>35</v>
      </c>
    </row>
    <row r="20" spans="1:5" ht="15.75">
      <c r="A20" s="3">
        <v>9</v>
      </c>
      <c r="B20" s="4" t="s">
        <v>12</v>
      </c>
      <c r="C20" s="7">
        <f>VLOOKUP(A1,'[1]ТР 2018'!$A$1:$AH$101,13,0)</f>
        <v>41001.53</v>
      </c>
      <c r="D20" s="7">
        <f>VLOOKUP(A1,'[1]ТР 2018'!$A$1:$AH$101,27,0)</f>
        <v>371000</v>
      </c>
      <c r="E20" s="9" t="s">
        <v>33</v>
      </c>
    </row>
    <row r="21" spans="1:5" ht="15.75">
      <c r="A21" s="3">
        <v>10</v>
      </c>
      <c r="B21" s="4" t="s">
        <v>13</v>
      </c>
      <c r="C21" s="7">
        <f>VLOOKUP(A1,'[1]ТР 2018'!$A$1:$AH$101,14,0)</f>
        <v>41423.1</v>
      </c>
      <c r="D21" s="7">
        <f>VLOOKUP(A1,'[1]ТР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VLOOKUP(A1,'[1]ТР 2018'!$A$1:$AH$101,15,0)</f>
        <v>44657.49</v>
      </c>
      <c r="D22" s="7">
        <f>VLOOKUP(A1,'[1]ТР 2018'!$A$1:$AH$101,29,0)</f>
        <v>0</v>
      </c>
      <c r="E22" s="9"/>
    </row>
    <row r="23" spans="1:5" ht="108.75" customHeight="1">
      <c r="A23" s="3">
        <v>12</v>
      </c>
      <c r="B23" s="11" t="s">
        <v>15</v>
      </c>
      <c r="C23" s="7">
        <f>VLOOKUP(A1,'[1]ТР 2018'!$A$1:$AH$101,16,0)</f>
        <v>49117.4</v>
      </c>
      <c r="D23" s="7">
        <f>VLOOKUP(A1,'[1]ТР 2018'!$A$1:$AH$101,30,0)</f>
        <v>11407</v>
      </c>
      <c r="E23" s="9" t="s">
        <v>34</v>
      </c>
    </row>
    <row r="24" spans="1:5" ht="15.75">
      <c r="A24" s="29" t="s">
        <v>16</v>
      </c>
      <c r="B24" s="30"/>
      <c r="C24" s="8">
        <f>SUM(C12:C23)</f>
        <v>518194.05000000005</v>
      </c>
      <c r="D24" s="8">
        <f>SUM(D12:D23)</f>
        <v>453203</v>
      </c>
      <c r="E24" s="10"/>
    </row>
    <row r="25" spans="1:5" ht="15.75">
      <c r="A25" s="27" t="s">
        <v>23</v>
      </c>
      <c r="B25" s="27"/>
      <c r="C25" s="27"/>
      <c r="D25" s="27"/>
      <c r="E25" s="16">
        <f>E11+C24-D24</f>
        <v>516459.61</v>
      </c>
    </row>
    <row r="29" spans="1:5" ht="18.75">
      <c r="A29" s="26" t="s">
        <v>22</v>
      </c>
      <c r="B29" s="26"/>
      <c r="C29" s="26"/>
      <c r="D29" s="26"/>
      <c r="E29" s="26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26"/>
      <c r="B32" s="26"/>
      <c r="C32" s="26"/>
      <c r="D32" s="26"/>
      <c r="E32" s="26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2019-03-22T07:32:57Z</dcterms:modified>
  <cp:category/>
  <cp:version/>
  <cp:contentType/>
  <cp:contentStatus/>
</cp:coreProperties>
</file>